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120" activeTab="1"/>
  </bookViews>
  <sheets>
    <sheet name="Indata" sheetId="1" r:id="rId1"/>
    <sheet name="Orakel" sheetId="2" r:id="rId2"/>
  </sheets>
  <definedNames>
    <definedName name="AggrInk">'Orakel'!$C$6</definedName>
    <definedName name="prob1">'Orakel'!$H$22</definedName>
    <definedName name="prob2">'Orakel'!$H$23</definedName>
    <definedName name="prob3">'Orakel'!$H$24</definedName>
    <definedName name="prob4">'Orakel'!$H$25</definedName>
    <definedName name="prob5">'Orakel'!$H$26</definedName>
    <definedName name="Sökt_belopp">'Indata'!$G$25</definedName>
  </definedNames>
  <calcPr fullCalcOnLoad="1"/>
</workbook>
</file>

<file path=xl/sharedStrings.xml><?xml version="1.0" encoding="utf-8"?>
<sst xmlns="http://schemas.openxmlformats.org/spreadsheetml/2006/main" count="103" uniqueCount="93">
  <si>
    <t>Risk för finansiell påfrestning</t>
  </si>
  <si>
    <t>7-12 mån</t>
  </si>
  <si>
    <t>Nej</t>
  </si>
  <si>
    <t>Finansiell motståndskraft</t>
  </si>
  <si>
    <t>Ägarandel fastighet %:</t>
  </si>
  <si>
    <t>Återbetalningsförmåga/Intern rating</t>
  </si>
  <si>
    <t>Variabelvärde</t>
  </si>
  <si>
    <t>Parameterkoefficient</t>
  </si>
  <si>
    <t>p1</t>
  </si>
  <si>
    <t>p2</t>
  </si>
  <si>
    <t>p3</t>
  </si>
  <si>
    <t>p4</t>
  </si>
  <si>
    <t>p5</t>
  </si>
  <si>
    <t xml:space="preserve"> </t>
  </si>
  <si>
    <t>Ja</t>
  </si>
  <si>
    <t>Kundnummer</t>
  </si>
  <si>
    <t>Ålder</t>
  </si>
  <si>
    <t>Härledning variabler</t>
  </si>
  <si>
    <t>A</t>
  </si>
  <si>
    <t>B</t>
  </si>
  <si>
    <t>A*B</t>
  </si>
  <si>
    <t>Risk/Fallissemang/Anmärkning</t>
  </si>
  <si>
    <t>Maskinell internrating:</t>
  </si>
  <si>
    <t>510508-XXXX</t>
  </si>
  <si>
    <t>Lön</t>
  </si>
  <si>
    <t>Kapitalinkomster</t>
  </si>
  <si>
    <t>% av totala inkomster</t>
  </si>
  <si>
    <t>Disponibla tillgångar</t>
  </si>
  <si>
    <t>Födelseår</t>
  </si>
  <si>
    <t>Pigg och glad</t>
  </si>
  <si>
    <t>Antal barn</t>
  </si>
  <si>
    <t>Strulfaktor1</t>
  </si>
  <si>
    <t>Strulfaktor2</t>
  </si>
  <si>
    <t>Strulfaktor3</t>
  </si>
  <si>
    <t>Strulfaktor4</t>
  </si>
  <si>
    <t>Anmärkning 1</t>
  </si>
  <si>
    <t>Anmärkning 2</t>
  </si>
  <si>
    <t>Anmärkning 3</t>
  </si>
  <si>
    <t>Kreditupplysning</t>
  </si>
  <si>
    <t>Skulder</t>
  </si>
  <si>
    <t>Sparade pengar</t>
  </si>
  <si>
    <t>Fastigheter</t>
  </si>
  <si>
    <t>Aktier</t>
  </si>
  <si>
    <t>Faktor X</t>
  </si>
  <si>
    <t>Faktor Y %</t>
  </si>
  <si>
    <t>Faktor Z</t>
  </si>
  <si>
    <t>Faktor W</t>
  </si>
  <si>
    <t>Spelar hockey?</t>
  </si>
  <si>
    <t>Gillar jazz?</t>
  </si>
  <si>
    <t>Sökt Lån</t>
  </si>
  <si>
    <t>Värde på privat jetplan</t>
  </si>
  <si>
    <t>Värde på yacht</t>
  </si>
  <si>
    <t>Antal segelbåtar</t>
  </si>
  <si>
    <t>Intern information</t>
  </si>
  <si>
    <t>Inkomster</t>
  </si>
  <si>
    <t>XXX</t>
  </si>
  <si>
    <t>Procentuell faktor 1</t>
  </si>
  <si>
    <t>Procentuell faktor 2</t>
  </si>
  <si>
    <t>Procentuell faktor 3</t>
  </si>
  <si>
    <t>Procentuell faktor 4</t>
  </si>
  <si>
    <t>Procentuell faktor 5</t>
  </si>
  <si>
    <t>Tillgångar X</t>
  </si>
  <si>
    <t>Tillgångar Y</t>
  </si>
  <si>
    <t>Tilgångar Z</t>
  </si>
  <si>
    <t>Tillgångar W</t>
  </si>
  <si>
    <t>Totala tillgångar</t>
  </si>
  <si>
    <t>Strulfaktor 1</t>
  </si>
  <si>
    <t>Strulfaktor 2</t>
  </si>
  <si>
    <t>Ålder3</t>
  </si>
  <si>
    <t>Ålder2</t>
  </si>
  <si>
    <t>Spelar Hockey</t>
  </si>
  <si>
    <t>Gillar Jazz</t>
  </si>
  <si>
    <t>Statistikberäkningar</t>
  </si>
  <si>
    <t>X</t>
  </si>
  <si>
    <t>Y</t>
  </si>
  <si>
    <t>Z</t>
  </si>
  <si>
    <t>W</t>
  </si>
  <si>
    <t>Regel 1</t>
  </si>
  <si>
    <t>Regel 2</t>
  </si>
  <si>
    <t>Regel 3</t>
  </si>
  <si>
    <t>Regel 4</t>
  </si>
  <si>
    <t>Regel 5</t>
  </si>
  <si>
    <t>Regel 6</t>
  </si>
  <si>
    <t>Slutlig bedömning</t>
  </si>
  <si>
    <t>Summering</t>
  </si>
  <si>
    <t>Regelverk</t>
  </si>
  <si>
    <t>Steg 1</t>
  </si>
  <si>
    <t>Steg 2</t>
  </si>
  <si>
    <t>Summeringar/formler</t>
  </si>
  <si>
    <t>Steg 3</t>
  </si>
  <si>
    <t>1 år</t>
  </si>
  <si>
    <t>3 år</t>
  </si>
  <si>
    <t>Anmärkningar UC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</si>
</sst>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</numFmts>
  <fonts count="9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b/>
      <sz val="8"/>
      <color indexed="8"/>
      <name val="MS Sans Serif"/>
      <family val="2"/>
    </font>
    <font>
      <sz val="9"/>
      <color indexed="8"/>
      <name val="MS Sans Serif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22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55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2" fillId="2" borderId="9" xfId="0" applyFont="1" applyFill="1" applyBorder="1" applyAlignment="1">
      <alignment horizontal="right" wrapText="1"/>
    </xf>
    <xf numFmtId="3" fontId="2" fillId="0" borderId="9" xfId="0" applyNumberFormat="1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9" fontId="0" fillId="0" borderId="5" xfId="15" applyNumberFormat="1" applyBorder="1" applyAlignment="1">
      <alignment/>
    </xf>
    <xf numFmtId="49" fontId="6" fillId="0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9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/>
    </xf>
    <xf numFmtId="11" fontId="0" fillId="0" borderId="9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/>
    </xf>
    <xf numFmtId="0" fontId="8" fillId="0" borderId="0" xfId="0" applyFont="1" applyAlignment="1">
      <alignment/>
    </xf>
    <xf numFmtId="0" fontId="6" fillId="0" borderId="16" xfId="0" applyFont="1" applyBorder="1" applyAlignment="1">
      <alignment/>
    </xf>
    <xf numFmtId="0" fontId="2" fillId="4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39</xdr:row>
      <xdr:rowOff>0</xdr:rowOff>
    </xdr:from>
    <xdr:to>
      <xdr:col>2</xdr:col>
      <xdr:colOff>914400</xdr:colOff>
      <xdr:row>40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77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914400</xdr:colOff>
      <xdr:row>40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677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914400</xdr:colOff>
      <xdr:row>40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677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914400</xdr:colOff>
      <xdr:row>40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677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914400</xdr:colOff>
      <xdr:row>40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677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914400</xdr:colOff>
      <xdr:row>40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677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914400</xdr:colOff>
      <xdr:row>40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677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914400</xdr:colOff>
      <xdr:row>40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9775" y="677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914400</xdr:colOff>
      <xdr:row>40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9775" y="6772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47"/>
  <sheetViews>
    <sheetView showGridLines="0" zoomScale="130" zoomScaleNormal="130" workbookViewId="0" topLeftCell="A1">
      <selection activeCell="D2" sqref="D2"/>
    </sheetView>
  </sheetViews>
  <sheetFormatPr defaultColWidth="9.140625" defaultRowHeight="12.75"/>
  <cols>
    <col min="2" max="2" width="1.421875" style="0" customWidth="1"/>
    <col min="3" max="3" width="19.57421875" style="0" customWidth="1"/>
    <col min="4" max="4" width="14.421875" style="0" customWidth="1"/>
    <col min="5" max="5" width="7.7109375" style="0" customWidth="1"/>
    <col min="6" max="6" width="35.8515625" style="0" customWidth="1"/>
    <col min="8" max="8" width="3.00390625" style="0" hidden="1" customWidth="1"/>
    <col min="10" max="10" width="0.85546875" style="0" customWidth="1"/>
  </cols>
  <sheetData>
    <row r="1" ht="13.5" thickBot="1"/>
    <row r="2" spans="2:10" ht="7.5" customHeight="1">
      <c r="B2" s="7"/>
      <c r="C2" s="8"/>
      <c r="D2" s="8"/>
      <c r="E2" s="8"/>
      <c r="F2" s="8"/>
      <c r="G2" s="8"/>
      <c r="H2" s="8"/>
      <c r="I2" s="8"/>
      <c r="J2" s="9"/>
    </row>
    <row r="3" spans="2:11" ht="12.75" customHeight="1">
      <c r="B3" s="10"/>
      <c r="C3" s="5" t="s">
        <v>15</v>
      </c>
      <c r="D3" s="37" t="s">
        <v>23</v>
      </c>
      <c r="E3" s="5"/>
      <c r="G3" s="24"/>
      <c r="H3" s="5"/>
      <c r="I3" s="5"/>
      <c r="J3" s="11"/>
      <c r="K3" s="25"/>
    </row>
    <row r="4" spans="2:10" ht="7.5" customHeight="1">
      <c r="B4" s="10"/>
      <c r="C4" s="5"/>
      <c r="D4" s="5"/>
      <c r="E4" s="5"/>
      <c r="F4" s="5"/>
      <c r="G4" s="5"/>
      <c r="H4" s="5"/>
      <c r="I4" s="5"/>
      <c r="J4" s="11"/>
    </row>
    <row r="5" spans="2:10" ht="14.25" customHeight="1">
      <c r="B5" s="10"/>
      <c r="C5" s="59" t="s">
        <v>0</v>
      </c>
      <c r="D5" s="59"/>
      <c r="E5" s="59"/>
      <c r="F5" s="59"/>
      <c r="G5" s="59"/>
      <c r="H5" s="59"/>
      <c r="I5" s="59"/>
      <c r="J5" s="11"/>
    </row>
    <row r="6" spans="2:10" ht="19.5" customHeight="1">
      <c r="B6" s="10"/>
      <c r="C6" s="60" t="s">
        <v>24</v>
      </c>
      <c r="D6" s="22"/>
      <c r="E6" s="14"/>
      <c r="F6" s="21" t="s">
        <v>53</v>
      </c>
      <c r="G6" s="21"/>
      <c r="H6" s="21"/>
      <c r="I6" s="21"/>
      <c r="J6" s="11"/>
    </row>
    <row r="7" spans="2:10" ht="12.75" customHeight="1">
      <c r="B7" s="10"/>
      <c r="C7" s="60"/>
      <c r="D7" s="34">
        <v>20000</v>
      </c>
      <c r="E7" s="14"/>
      <c r="F7" s="12"/>
      <c r="G7" s="19" t="s">
        <v>90</v>
      </c>
      <c r="H7" s="19" t="s">
        <v>1</v>
      </c>
      <c r="I7" s="19" t="s">
        <v>91</v>
      </c>
      <c r="J7" s="11"/>
    </row>
    <row r="8" spans="2:15" ht="14.25" customHeight="1">
      <c r="B8" s="10"/>
      <c r="C8" s="60" t="s">
        <v>25</v>
      </c>
      <c r="D8" s="5"/>
      <c r="E8" s="14"/>
      <c r="F8" s="2" t="s">
        <v>31</v>
      </c>
      <c r="G8" s="38">
        <v>1</v>
      </c>
      <c r="H8" s="35">
        <v>0</v>
      </c>
      <c r="I8" s="38">
        <v>0</v>
      </c>
      <c r="J8" s="11"/>
      <c r="O8" s="23" t="s">
        <v>14</v>
      </c>
    </row>
    <row r="9" spans="2:15" ht="12.75">
      <c r="B9" s="10"/>
      <c r="C9" s="60"/>
      <c r="D9" s="34">
        <v>950</v>
      </c>
      <c r="E9" s="14"/>
      <c r="F9" s="2" t="s">
        <v>32</v>
      </c>
      <c r="G9" s="38">
        <v>1</v>
      </c>
      <c r="H9" s="35">
        <v>0</v>
      </c>
      <c r="I9" s="38">
        <v>0</v>
      </c>
      <c r="J9" s="11"/>
      <c r="O9" s="23" t="s">
        <v>2</v>
      </c>
    </row>
    <row r="10" spans="2:10" ht="12.75">
      <c r="B10" s="10"/>
      <c r="C10" s="12"/>
      <c r="D10" s="5"/>
      <c r="E10" s="14"/>
      <c r="F10" s="2" t="s">
        <v>33</v>
      </c>
      <c r="G10" s="38">
        <v>1</v>
      </c>
      <c r="H10" s="35">
        <v>0</v>
      </c>
      <c r="I10" s="38">
        <v>0</v>
      </c>
      <c r="J10" s="11"/>
    </row>
    <row r="11" spans="2:10" ht="12.75">
      <c r="B11" s="10"/>
      <c r="C11" s="12" t="s">
        <v>26</v>
      </c>
      <c r="D11" s="34">
        <v>70</v>
      </c>
      <c r="E11" s="14"/>
      <c r="F11" s="2" t="s">
        <v>34</v>
      </c>
      <c r="G11" s="38">
        <v>1</v>
      </c>
      <c r="H11" s="35">
        <v>0</v>
      </c>
      <c r="I11" s="38">
        <v>0</v>
      </c>
      <c r="J11" s="11"/>
    </row>
    <row r="12" spans="2:10" ht="12.75">
      <c r="B12" s="10"/>
      <c r="C12" s="61"/>
      <c r="D12" s="61"/>
      <c r="E12" s="12"/>
      <c r="F12" s="12"/>
      <c r="G12" s="5"/>
      <c r="H12" s="5"/>
      <c r="I12" s="5"/>
      <c r="J12" s="11"/>
    </row>
    <row r="13" spans="2:10" ht="12.75">
      <c r="B13" s="10"/>
      <c r="C13" s="12"/>
      <c r="D13" s="14"/>
      <c r="E13" s="14"/>
      <c r="F13" s="2" t="s">
        <v>35</v>
      </c>
      <c r="G13" s="38" t="s">
        <v>2</v>
      </c>
      <c r="H13" s="14"/>
      <c r="I13" s="3"/>
      <c r="J13" s="11"/>
    </row>
    <row r="14" spans="2:10" ht="12.75">
      <c r="B14" s="10"/>
      <c r="C14" s="12" t="s">
        <v>27</v>
      </c>
      <c r="D14" s="34">
        <v>22986</v>
      </c>
      <c r="E14" s="14"/>
      <c r="F14" s="2" t="s">
        <v>36</v>
      </c>
      <c r="G14" s="38" t="s">
        <v>2</v>
      </c>
      <c r="H14" s="14"/>
      <c r="I14" s="3"/>
      <c r="J14" s="11"/>
    </row>
    <row r="15" spans="2:10" ht="12.75">
      <c r="B15" s="10"/>
      <c r="C15" s="61"/>
      <c r="D15" s="61"/>
      <c r="E15" s="12"/>
      <c r="F15" s="2" t="s">
        <v>37</v>
      </c>
      <c r="G15" s="38" t="s">
        <v>2</v>
      </c>
      <c r="H15" s="14"/>
      <c r="I15" s="3"/>
      <c r="J15" s="11"/>
    </row>
    <row r="16" spans="2:10" ht="12.75">
      <c r="B16" s="10"/>
      <c r="C16" s="12"/>
      <c r="D16" s="14"/>
      <c r="E16" s="14"/>
      <c r="F16" s="12"/>
      <c r="G16" s="12"/>
      <c r="H16" s="12"/>
      <c r="I16" s="12"/>
      <c r="J16" s="11"/>
    </row>
    <row r="17" spans="2:10" ht="12.75" customHeight="1">
      <c r="B17" s="10"/>
      <c r="C17" s="12" t="s">
        <v>28</v>
      </c>
      <c r="D17" s="38">
        <v>1982</v>
      </c>
      <c r="E17" s="14"/>
      <c r="F17" s="21" t="s">
        <v>38</v>
      </c>
      <c r="G17" s="21"/>
      <c r="H17" s="21"/>
      <c r="I17" s="21"/>
      <c r="J17" s="11"/>
    </row>
    <row r="18" spans="2:10" ht="12.75">
      <c r="B18" s="10"/>
      <c r="C18" s="61"/>
      <c r="D18" s="61"/>
      <c r="E18" s="12"/>
      <c r="F18" s="2" t="s">
        <v>92</v>
      </c>
      <c r="G18" s="38">
        <v>0</v>
      </c>
      <c r="H18" s="14"/>
      <c r="I18" s="12"/>
      <c r="J18" s="11"/>
    </row>
    <row r="19" spans="2:10" ht="12.75">
      <c r="B19" s="10"/>
      <c r="C19" s="12" t="s">
        <v>29</v>
      </c>
      <c r="D19" s="18" t="s">
        <v>2</v>
      </c>
      <c r="E19" s="14"/>
      <c r="F19" s="5"/>
      <c r="G19" s="12"/>
      <c r="H19" s="12"/>
      <c r="I19" s="12"/>
      <c r="J19" s="11"/>
    </row>
    <row r="20" spans="2:10" ht="13.5" customHeight="1">
      <c r="B20" s="10"/>
      <c r="C20" s="61" t="s">
        <v>30</v>
      </c>
      <c r="D20" s="5"/>
      <c r="E20" s="14"/>
      <c r="F20" s="2" t="s">
        <v>39</v>
      </c>
      <c r="G20" s="34">
        <v>0</v>
      </c>
      <c r="H20" s="14"/>
      <c r="I20" s="12"/>
      <c r="J20" s="11"/>
    </row>
    <row r="21" spans="2:10" ht="12.75">
      <c r="B21" s="10"/>
      <c r="C21" s="61"/>
      <c r="D21" s="34">
        <v>0</v>
      </c>
      <c r="E21" s="14"/>
      <c r="F21" s="12"/>
      <c r="G21" s="12"/>
      <c r="H21" s="12"/>
      <c r="I21" s="12"/>
      <c r="J21" s="11"/>
    </row>
    <row r="22" spans="2:10" ht="12.75">
      <c r="B22" s="10"/>
      <c r="C22" s="5"/>
      <c r="D22" s="5"/>
      <c r="E22" s="5"/>
      <c r="F22" s="5"/>
      <c r="G22" s="5"/>
      <c r="H22" s="5"/>
      <c r="I22" s="5"/>
      <c r="J22" s="11"/>
    </row>
    <row r="23" spans="2:10" ht="13.5" customHeight="1">
      <c r="B23" s="10"/>
      <c r="C23" s="59" t="s">
        <v>3</v>
      </c>
      <c r="D23" s="59"/>
      <c r="E23" s="59"/>
      <c r="F23" s="59"/>
      <c r="G23" s="59"/>
      <c r="H23" s="59"/>
      <c r="I23" s="59"/>
      <c r="J23" s="11"/>
    </row>
    <row r="24" spans="2:10" ht="32.25" customHeight="1">
      <c r="B24" s="10"/>
      <c r="C24" s="61" t="s">
        <v>40</v>
      </c>
      <c r="D24" s="5"/>
      <c r="E24" s="14"/>
      <c r="F24" s="5"/>
      <c r="G24" s="5"/>
      <c r="H24" s="5"/>
      <c r="I24" s="5"/>
      <c r="J24" s="11"/>
    </row>
    <row r="25" spans="2:10" ht="12.75">
      <c r="B25" s="10"/>
      <c r="C25" s="61"/>
      <c r="D25" s="34">
        <v>109120</v>
      </c>
      <c r="E25" s="14"/>
      <c r="F25" s="12" t="s">
        <v>49</v>
      </c>
      <c r="G25" s="34">
        <v>36000</v>
      </c>
      <c r="H25" s="5"/>
      <c r="I25" s="5"/>
      <c r="J25" s="11"/>
    </row>
    <row r="26" spans="2:10" ht="12.75">
      <c r="B26" s="10"/>
      <c r="C26" s="61" t="s">
        <v>41</v>
      </c>
      <c r="D26" s="12"/>
      <c r="E26" s="12"/>
      <c r="F26" s="12"/>
      <c r="G26" s="14"/>
      <c r="H26" s="5"/>
      <c r="I26" s="5"/>
      <c r="J26" s="11"/>
    </row>
    <row r="27" spans="2:10" ht="14.25" customHeight="1">
      <c r="B27" s="10"/>
      <c r="C27" s="61"/>
      <c r="D27" s="34">
        <v>609000</v>
      </c>
      <c r="E27" s="14"/>
      <c r="F27" s="12" t="s">
        <v>50</v>
      </c>
      <c r="G27" s="34">
        <v>244930</v>
      </c>
      <c r="H27" s="5"/>
      <c r="I27" s="5"/>
      <c r="J27" s="11"/>
    </row>
    <row r="28" spans="2:10" ht="12.75">
      <c r="B28" s="10"/>
      <c r="C28" s="61" t="s">
        <v>42</v>
      </c>
      <c r="D28" s="5"/>
      <c r="E28" s="14"/>
      <c r="F28" s="12" t="s">
        <v>13</v>
      </c>
      <c r="G28" s="14"/>
      <c r="H28" s="5"/>
      <c r="I28" s="5"/>
      <c r="J28" s="11"/>
    </row>
    <row r="29" spans="2:13" ht="12.75">
      <c r="B29" s="10"/>
      <c r="C29" s="61"/>
      <c r="D29" s="34">
        <v>394000</v>
      </c>
      <c r="E29" s="14"/>
      <c r="F29" s="12" t="s">
        <v>51</v>
      </c>
      <c r="G29" s="34">
        <v>203123</v>
      </c>
      <c r="H29" s="5"/>
      <c r="I29" s="5"/>
      <c r="J29" s="11"/>
      <c r="M29" s="22"/>
    </row>
    <row r="30" spans="2:10" ht="12.75">
      <c r="B30" s="10"/>
      <c r="C30" s="12"/>
      <c r="D30" s="5"/>
      <c r="E30" s="14"/>
      <c r="H30" s="5"/>
      <c r="I30" s="5"/>
      <c r="J30" s="11"/>
    </row>
    <row r="31" spans="2:10" ht="12.75">
      <c r="B31" s="10"/>
      <c r="C31" s="12" t="s">
        <v>4</v>
      </c>
      <c r="D31" s="38">
        <v>50</v>
      </c>
      <c r="E31" s="14"/>
      <c r="F31" s="12" t="s">
        <v>52</v>
      </c>
      <c r="G31" s="20">
        <v>0</v>
      </c>
      <c r="H31" s="5"/>
      <c r="I31" s="5"/>
      <c r="J31" s="11"/>
    </row>
    <row r="32" spans="2:10" ht="16.5" customHeight="1">
      <c r="B32" s="10"/>
      <c r="C32" s="61" t="s">
        <v>43</v>
      </c>
      <c r="D32" s="12"/>
      <c r="E32" s="12"/>
      <c r="F32" s="5"/>
      <c r="G32" s="14"/>
      <c r="H32" s="5"/>
      <c r="I32" s="5"/>
      <c r="J32" s="11"/>
    </row>
    <row r="33" spans="2:10" ht="12.75">
      <c r="B33" s="10"/>
      <c r="C33" s="61"/>
      <c r="D33" s="38">
        <v>0</v>
      </c>
      <c r="E33" s="14"/>
      <c r="F33" s="12" t="s">
        <v>47</v>
      </c>
      <c r="G33" s="38" t="s">
        <v>2</v>
      </c>
      <c r="H33" s="5"/>
      <c r="I33" s="5"/>
      <c r="J33" s="11"/>
    </row>
    <row r="34" spans="2:10" ht="12.75">
      <c r="B34" s="10"/>
      <c r="C34" s="12"/>
      <c r="D34" s="14"/>
      <c r="E34" s="14"/>
      <c r="F34" s="12"/>
      <c r="G34" s="12"/>
      <c r="H34" s="5"/>
      <c r="I34" s="5"/>
      <c r="J34" s="11"/>
    </row>
    <row r="35" spans="2:10" ht="13.5" customHeight="1">
      <c r="B35" s="10"/>
      <c r="C35" s="12" t="s">
        <v>44</v>
      </c>
      <c r="D35" s="38">
        <v>0</v>
      </c>
      <c r="E35" s="14"/>
      <c r="F35" s="12" t="s">
        <v>48</v>
      </c>
      <c r="G35" s="18" t="s">
        <v>2</v>
      </c>
      <c r="H35" s="5"/>
      <c r="I35" s="5"/>
      <c r="J35" s="11"/>
    </row>
    <row r="36" spans="2:10" ht="12.75">
      <c r="B36" s="10"/>
      <c r="C36" s="12"/>
      <c r="D36" s="39"/>
      <c r="E36" s="12"/>
      <c r="H36" s="5"/>
      <c r="I36" s="5"/>
      <c r="J36" s="11"/>
    </row>
    <row r="37" spans="2:10" ht="12.75">
      <c r="B37" s="10"/>
      <c r="C37" s="12" t="s">
        <v>45</v>
      </c>
      <c r="D37" s="38">
        <v>0</v>
      </c>
      <c r="E37" s="14"/>
      <c r="H37" s="5"/>
      <c r="I37" s="5"/>
      <c r="J37" s="11"/>
    </row>
    <row r="38" spans="2:10" ht="21.75" customHeight="1">
      <c r="B38" s="10"/>
      <c r="C38" s="61" t="s">
        <v>46</v>
      </c>
      <c r="D38" s="14"/>
      <c r="E38" s="14"/>
      <c r="F38" s="12"/>
      <c r="G38" s="5"/>
      <c r="H38" s="5"/>
      <c r="I38" s="5"/>
      <c r="J38" s="11"/>
    </row>
    <row r="39" spans="2:10" ht="12.75">
      <c r="B39" s="10"/>
      <c r="C39" s="61"/>
      <c r="D39" s="18">
        <v>0</v>
      </c>
      <c r="E39" s="14"/>
      <c r="F39" s="12"/>
      <c r="G39" s="5"/>
      <c r="H39" s="5"/>
      <c r="I39" s="5"/>
      <c r="J39" s="11"/>
    </row>
    <row r="40" spans="2:10" ht="12.75">
      <c r="B40" s="10"/>
      <c r="C40" s="5"/>
      <c r="D40" s="5"/>
      <c r="E40" s="5"/>
      <c r="F40" s="5"/>
      <c r="G40" s="5"/>
      <c r="H40" s="5"/>
      <c r="I40" s="5"/>
      <c r="J40" s="11"/>
    </row>
    <row r="41" spans="2:10" ht="12" customHeight="1">
      <c r="B41" s="10"/>
      <c r="C41" s="59" t="s">
        <v>5</v>
      </c>
      <c r="D41" s="59"/>
      <c r="E41" s="59"/>
      <c r="F41" s="59"/>
      <c r="G41" s="59"/>
      <c r="H41" s="59"/>
      <c r="I41" s="59"/>
      <c r="J41" s="11"/>
    </row>
    <row r="42" spans="2:10" ht="12.75">
      <c r="B42" s="10"/>
      <c r="C42" s="5"/>
      <c r="D42" s="5"/>
      <c r="E42" s="5"/>
      <c r="F42" s="5"/>
      <c r="G42" s="5"/>
      <c r="H42" s="5"/>
      <c r="I42" s="5"/>
      <c r="J42" s="11"/>
    </row>
    <row r="43" spans="2:10" ht="12.75">
      <c r="B43" s="10"/>
      <c r="C43" s="12" t="s">
        <v>22</v>
      </c>
      <c r="D43" s="33">
        <f>Orakel!L13</f>
        <v>3</v>
      </c>
      <c r="E43" s="13"/>
      <c r="F43" s="5"/>
      <c r="G43" s="5"/>
      <c r="H43" s="5"/>
      <c r="I43" s="5"/>
      <c r="J43" s="11"/>
    </row>
    <row r="44" spans="2:10" ht="7.5" customHeight="1" thickBot="1">
      <c r="B44" s="15"/>
      <c r="C44" s="16"/>
      <c r="D44" s="16"/>
      <c r="E44" s="16"/>
      <c r="F44" s="16"/>
      <c r="G44" s="16"/>
      <c r="H44" s="16"/>
      <c r="I44" s="16"/>
      <c r="J44" s="17"/>
    </row>
    <row r="45" ht="12.75">
      <c r="C45" s="6"/>
    </row>
    <row r="46" spans="3:6" ht="12.75">
      <c r="C46" s="1"/>
      <c r="D46" s="4"/>
      <c r="E46" s="4"/>
      <c r="F46" s="1"/>
    </row>
    <row r="47" spans="3:6" ht="12.75">
      <c r="C47" s="1"/>
      <c r="D47" s="4"/>
      <c r="E47" s="4"/>
      <c r="F47" s="1"/>
    </row>
  </sheetData>
  <mergeCells count="14">
    <mergeCell ref="C26:C27"/>
    <mergeCell ref="C28:C29"/>
    <mergeCell ref="C32:C33"/>
    <mergeCell ref="C38:C39"/>
    <mergeCell ref="C41:I41"/>
    <mergeCell ref="C5:I5"/>
    <mergeCell ref="C6:C7"/>
    <mergeCell ref="C8:C9"/>
    <mergeCell ref="C23:I23"/>
    <mergeCell ref="C20:C21"/>
    <mergeCell ref="C24:C25"/>
    <mergeCell ref="C12:D12"/>
    <mergeCell ref="C15:D15"/>
    <mergeCell ref="C18:D18"/>
  </mergeCells>
  <dataValidations count="1">
    <dataValidation type="list" allowBlank="1" showInputMessage="1" showErrorMessage="1" sqref="G33 G35 G13:G15 D19">
      <formula1>$O$8:$O$9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2"/>
  <sheetViews>
    <sheetView showGridLines="0" tabSelected="1" zoomScale="120" zoomScaleNormal="120" workbookViewId="0" topLeftCell="A1">
      <selection activeCell="C12" sqref="C12"/>
    </sheetView>
  </sheetViews>
  <sheetFormatPr defaultColWidth="9.140625" defaultRowHeight="12.75"/>
  <cols>
    <col min="1" max="1" width="4.00390625" style="0" customWidth="1"/>
    <col min="2" max="2" width="26.28125" style="0" bestFit="1" customWidth="1"/>
    <col min="4" max="4" width="5.8515625" style="0" customWidth="1"/>
    <col min="5" max="5" width="22.8515625" style="0" bestFit="1" customWidth="1"/>
    <col min="6" max="6" width="18.140625" style="0" bestFit="1" customWidth="1"/>
    <col min="7" max="7" width="12.57421875" style="0" bestFit="1" customWidth="1"/>
    <col min="9" max="9" width="2.8515625" style="0" customWidth="1"/>
    <col min="10" max="10" width="2.57421875" style="0" customWidth="1"/>
    <col min="11" max="11" width="22.57421875" style="0" customWidth="1"/>
  </cols>
  <sheetData>
    <row r="2" spans="2:11" ht="27.75">
      <c r="B2" s="57" t="s">
        <v>86</v>
      </c>
      <c r="E2" s="57" t="s">
        <v>87</v>
      </c>
      <c r="K2" s="57" t="s">
        <v>89</v>
      </c>
    </row>
    <row r="3" spans="2:11" ht="27.75">
      <c r="B3" s="57" t="s">
        <v>17</v>
      </c>
      <c r="E3" s="57" t="s">
        <v>88</v>
      </c>
      <c r="K3" s="57" t="s">
        <v>85</v>
      </c>
    </row>
    <row r="4" ht="13.5" thickBot="1"/>
    <row r="5" spans="2:12" ht="12.75">
      <c r="B5" s="30" t="s">
        <v>17</v>
      </c>
      <c r="C5" s="31"/>
      <c r="E5" s="41" t="s">
        <v>84</v>
      </c>
      <c r="F5" s="50" t="s">
        <v>18</v>
      </c>
      <c r="G5" s="50" t="s">
        <v>19</v>
      </c>
      <c r="H5" s="51" t="s">
        <v>20</v>
      </c>
      <c r="K5" s="41" t="s">
        <v>85</v>
      </c>
      <c r="L5" s="42"/>
    </row>
    <row r="6" spans="2:12" ht="12.75">
      <c r="B6" s="10" t="s">
        <v>54</v>
      </c>
      <c r="C6" s="11">
        <f>Indata!D7+Indata!D9+Indata!D21/12</f>
        <v>20950</v>
      </c>
      <c r="E6" s="43"/>
      <c r="F6" s="40" t="s">
        <v>7</v>
      </c>
      <c r="G6" s="40" t="s">
        <v>6</v>
      </c>
      <c r="H6" s="44"/>
      <c r="K6" s="43"/>
      <c r="L6" s="44"/>
    </row>
    <row r="7" spans="2:12" ht="12.75">
      <c r="B7" s="10"/>
      <c r="C7" s="11"/>
      <c r="E7" s="43" t="str">
        <f>B20</f>
        <v>Tillgångar W</v>
      </c>
      <c r="F7" s="40">
        <v>-4.85E-05</v>
      </c>
      <c r="G7" s="47">
        <f>C20</f>
        <v>16090.2</v>
      </c>
      <c r="H7" s="44">
        <f>F7*G7</f>
        <v>-0.7803747000000001</v>
      </c>
      <c r="K7" s="43" t="s">
        <v>77</v>
      </c>
      <c r="L7" s="44">
        <f>VLOOKUP(H28,H22:I26,2,FALSE)</f>
        <v>3</v>
      </c>
    </row>
    <row r="8" spans="2:12" ht="12.75">
      <c r="B8" s="10" t="s">
        <v>41</v>
      </c>
      <c r="C8" s="11">
        <f>IF(Indata!D27,Indata!D27,1.3*Indata!D29)</f>
        <v>609000</v>
      </c>
      <c r="E8" s="43" t="str">
        <f>B22</f>
        <v>Totala tillgångar</v>
      </c>
      <c r="F8" s="48">
        <v>-1.44E-06</v>
      </c>
      <c r="G8" s="49">
        <f>C22</f>
        <v>109120</v>
      </c>
      <c r="H8" s="44">
        <f aca="true" t="shared" si="0" ref="H8:H18">F8*G8</f>
        <v>-0.1571328</v>
      </c>
      <c r="K8" s="43" t="s">
        <v>78</v>
      </c>
      <c r="L8" s="44">
        <f>IF(L7=2,IF(prob1/prob2&gt;=0.4,IF(prob1/prob3&gt;1,1,2),2),L7)</f>
        <v>3</v>
      </c>
    </row>
    <row r="9" spans="2:12" ht="12.75">
      <c r="B9" s="10" t="s">
        <v>55</v>
      </c>
      <c r="C9" s="11">
        <f>MAX(Indata!D31,Indata!D35)/100</f>
        <v>0.5</v>
      </c>
      <c r="E9" s="43" t="str">
        <f>B24</f>
        <v>Strulfaktor 1</v>
      </c>
      <c r="F9" s="40">
        <v>0.6179891</v>
      </c>
      <c r="G9" s="40">
        <f>C24</f>
        <v>1</v>
      </c>
      <c r="H9" s="44">
        <f t="shared" si="0"/>
        <v>0.6179891</v>
      </c>
      <c r="K9" s="43" t="s">
        <v>79</v>
      </c>
      <c r="L9" s="44">
        <f>IF(L8=3,IF(prob4/prob3&gt;=0.32,IF(prob4/prob2&gt;1,4,3),3),L8)</f>
        <v>3</v>
      </c>
    </row>
    <row r="10" spans="2:12" ht="12.75">
      <c r="B10" s="10" t="s">
        <v>56</v>
      </c>
      <c r="C10" s="36">
        <f>IF(Indata!D27+Indata!D29+Indata!D33&gt;0,(Sökt_belopp*C9+Indata!G27+Indata!G29)/(C8*Indata!D31/100+Indata!D33*Indata!D35/100),-99)</f>
        <v>1.530551724137931</v>
      </c>
      <c r="E10" s="43" t="str">
        <f>B25</f>
        <v>Strulfaktor 2</v>
      </c>
      <c r="F10" s="40">
        <v>0.6097592</v>
      </c>
      <c r="G10" s="40">
        <f>C25</f>
        <v>1</v>
      </c>
      <c r="H10" s="44">
        <f t="shared" si="0"/>
        <v>0.6097592</v>
      </c>
      <c r="K10" s="43" t="s">
        <v>80</v>
      </c>
      <c r="L10" s="44">
        <f>IF(C20&lt;5000,IF(Indata!D11&gt;35,4,Orakel!L9),Orakel!L9)</f>
        <v>3</v>
      </c>
    </row>
    <row r="11" spans="2:12" ht="12.75">
      <c r="B11" s="10" t="s">
        <v>57</v>
      </c>
      <c r="C11" s="11">
        <f>IF(C10&gt;-99,IF($C$10&lt;0.7,1,0),0)</f>
        <v>0</v>
      </c>
      <c r="E11" s="43" t="str">
        <f>B28</f>
        <v>Ålder2</v>
      </c>
      <c r="F11" s="40">
        <v>0.596934</v>
      </c>
      <c r="G11" s="40">
        <f>C28</f>
        <v>0</v>
      </c>
      <c r="H11" s="44">
        <f t="shared" si="0"/>
        <v>0</v>
      </c>
      <c r="K11" s="43" t="s">
        <v>81</v>
      </c>
      <c r="L11" s="44">
        <f>IF(C20&lt;3500,IF(Indata!D11&gt;35,5,Orakel!L10),Orakel!L10)</f>
        <v>3</v>
      </c>
    </row>
    <row r="12" spans="2:12" ht="12.75">
      <c r="B12" s="10" t="s">
        <v>58</v>
      </c>
      <c r="C12" s="11">
        <f>IF(C10&gt;-99,IF($C$10&gt;=0.7,IF($C$10&lt;0.9,1,0),0),0)</f>
        <v>0</v>
      </c>
      <c r="E12" s="43" t="str">
        <f>B29</f>
        <v>Ålder3</v>
      </c>
      <c r="F12" s="40">
        <v>0.2347187</v>
      </c>
      <c r="G12" s="40">
        <f>C29</f>
        <v>0</v>
      </c>
      <c r="H12" s="44">
        <f t="shared" si="0"/>
        <v>0</v>
      </c>
      <c r="K12" s="43" t="s">
        <v>82</v>
      </c>
      <c r="L12" s="44">
        <f>IF(H30&gt;0,5,L11)</f>
        <v>3</v>
      </c>
    </row>
    <row r="13" spans="2:12" ht="13.5" thickBot="1">
      <c r="B13" s="10" t="s">
        <v>59</v>
      </c>
      <c r="C13" s="11">
        <f>IF(C10&gt;-99,IF($C$10&gt;=0.9,IF($C$10&lt;1,1,0),0),0)</f>
        <v>0</v>
      </c>
      <c r="E13" s="43" t="str">
        <f>B11</f>
        <v>Procentuell faktor 2</v>
      </c>
      <c r="F13" s="40">
        <v>-0.6434616</v>
      </c>
      <c r="G13" s="40">
        <f>C11</f>
        <v>0</v>
      </c>
      <c r="H13" s="44">
        <f t="shared" si="0"/>
        <v>0</v>
      </c>
      <c r="K13" s="58" t="s">
        <v>83</v>
      </c>
      <c r="L13" s="56">
        <f>L12</f>
        <v>3</v>
      </c>
    </row>
    <row r="14" spans="2:8" ht="12.75">
      <c r="B14" s="10" t="s">
        <v>60</v>
      </c>
      <c r="C14" s="11">
        <f>IF(C10&gt;-99,IF($C$10&gt;=1,IF(C10&lt;1.1,1,0),0),0)</f>
        <v>0</v>
      </c>
      <c r="E14" s="43" t="str">
        <f>B12</f>
        <v>Procentuell faktor 3</v>
      </c>
      <c r="F14" s="40">
        <v>-0.4454491</v>
      </c>
      <c r="G14" s="40">
        <f>C12</f>
        <v>0</v>
      </c>
      <c r="H14" s="44">
        <f t="shared" si="0"/>
        <v>0</v>
      </c>
    </row>
    <row r="15" spans="2:8" ht="12.75">
      <c r="B15" s="10"/>
      <c r="C15" s="11"/>
      <c r="E15" s="43" t="str">
        <f>B13</f>
        <v>Procentuell faktor 4</v>
      </c>
      <c r="F15" s="40">
        <v>-0.3353032</v>
      </c>
      <c r="G15" s="40">
        <f>C13</f>
        <v>0</v>
      </c>
      <c r="H15" s="44">
        <f t="shared" si="0"/>
        <v>0</v>
      </c>
    </row>
    <row r="16" spans="2:8" ht="12.75">
      <c r="B16" s="10" t="s">
        <v>27</v>
      </c>
      <c r="C16" s="11"/>
      <c r="E16" s="43" t="str">
        <f>B14</f>
        <v>Procentuell faktor 5</v>
      </c>
      <c r="F16" s="40">
        <v>-0.2523544</v>
      </c>
      <c r="G16" s="40">
        <f>C14</f>
        <v>0</v>
      </c>
      <c r="H16" s="44">
        <f t="shared" si="0"/>
        <v>0</v>
      </c>
    </row>
    <row r="17" spans="2:8" ht="12.75">
      <c r="B17" s="10" t="s">
        <v>61</v>
      </c>
      <c r="C17" s="26">
        <f>3067.097+AggrInk*0.2192</f>
        <v>7659.3369999999995</v>
      </c>
      <c r="E17" s="43" t="str">
        <f>B31</f>
        <v>Spelar Hockey</v>
      </c>
      <c r="F17" s="40">
        <v>0.1285511</v>
      </c>
      <c r="G17" s="40">
        <f>C31</f>
        <v>0</v>
      </c>
      <c r="H17" s="44">
        <f t="shared" si="0"/>
        <v>0</v>
      </c>
    </row>
    <row r="18" spans="2:8" ht="12.75">
      <c r="B18" s="10" t="s">
        <v>62</v>
      </c>
      <c r="C18" s="26">
        <f>3239.158+AggrInk*0.298227+C11*1074.336+C12*884.2987+C13*504.9609+C14*163.3</f>
        <v>9487.01365</v>
      </c>
      <c r="E18" s="43" t="str">
        <f>B32</f>
        <v>Gillar Jazz</v>
      </c>
      <c r="F18" s="40">
        <v>-0.0696742</v>
      </c>
      <c r="G18" s="47">
        <f>C32</f>
        <v>0</v>
      </c>
      <c r="H18" s="44">
        <f t="shared" si="0"/>
        <v>0</v>
      </c>
    </row>
    <row r="19" spans="2:8" ht="12.75">
      <c r="B19" s="10" t="s">
        <v>63</v>
      </c>
      <c r="C19" s="26">
        <f>IF(Indata!D7&lt;12500,Orakel!C17,Orakel!C18)</f>
        <v>9487.01365</v>
      </c>
      <c r="E19" s="43"/>
      <c r="F19" s="40"/>
      <c r="G19" s="40"/>
      <c r="H19" s="44"/>
    </row>
    <row r="20" spans="2:8" ht="12.75">
      <c r="B20" s="10" t="s">
        <v>64</v>
      </c>
      <c r="C20" s="26">
        <f>IF(Indata!D14&gt;0,Indata!D14*Indata!D11/100,Orakel!C19)</f>
        <v>16090.2</v>
      </c>
      <c r="E20" s="52" t="s">
        <v>72</v>
      </c>
      <c r="F20" s="40"/>
      <c r="G20" s="40"/>
      <c r="H20" s="53">
        <f>SUM(H7:H18)</f>
        <v>0.29024079999999985</v>
      </c>
    </row>
    <row r="21" spans="2:8" ht="12.75">
      <c r="B21" s="10"/>
      <c r="C21" s="11"/>
      <c r="E21" s="43"/>
      <c r="F21" s="40"/>
      <c r="G21" s="40"/>
      <c r="H21" s="44"/>
    </row>
    <row r="22" spans="2:9" ht="12.75">
      <c r="B22" s="10" t="s">
        <v>65</v>
      </c>
      <c r="C22" s="27">
        <f>MIN(Indata!D25+Indata!D37,1000000)</f>
        <v>109120</v>
      </c>
      <c r="E22" s="43" t="s">
        <v>73</v>
      </c>
      <c r="F22" s="40">
        <v>-2.142549</v>
      </c>
      <c r="G22" s="46" t="s">
        <v>8</v>
      </c>
      <c r="H22" s="53">
        <f>NORMSDIST(F22-$H$20)</f>
        <v>0.0074914980813990395</v>
      </c>
      <c r="I22" s="32">
        <v>1</v>
      </c>
    </row>
    <row r="23" spans="2:9" ht="12.75">
      <c r="B23" s="10"/>
      <c r="C23" s="11"/>
      <c r="E23" s="43" t="s">
        <v>74</v>
      </c>
      <c r="F23" s="40">
        <v>-0.596285</v>
      </c>
      <c r="G23" s="46" t="s">
        <v>9</v>
      </c>
      <c r="H23" s="53">
        <f>NORMSDIST(F23-$H$20)-H22</f>
        <v>0.18017563079203236</v>
      </c>
      <c r="I23" s="32">
        <v>2</v>
      </c>
    </row>
    <row r="24" spans="2:9" ht="12.75">
      <c r="B24" s="10" t="s">
        <v>66</v>
      </c>
      <c r="C24" s="11">
        <f>IF(SUM(Indata!$G$8:$I$11)&gt;0,1,0)</f>
        <v>1</v>
      </c>
      <c r="E24" s="43" t="s">
        <v>75</v>
      </c>
      <c r="F24" s="40">
        <v>1.254336</v>
      </c>
      <c r="G24" s="46" t="s">
        <v>10</v>
      </c>
      <c r="H24" s="53">
        <f>NORMSDIST(F24-$H$20)-H23-H22</f>
        <v>0.6448337716290717</v>
      </c>
      <c r="I24" s="32">
        <v>3</v>
      </c>
    </row>
    <row r="25" spans="2:9" ht="12.75">
      <c r="B25" s="10" t="s">
        <v>67</v>
      </c>
      <c r="C25" s="11">
        <f>MIN(IF(SUM(Indata!$G$8:$I$11)&gt;3,1,0)+IF(SUM(Indata!G10:I11)&gt;0,1,0),1)</f>
        <v>1</v>
      </c>
      <c r="E25" s="43" t="s">
        <v>76</v>
      </c>
      <c r="F25" s="40">
        <v>2.296471</v>
      </c>
      <c r="G25" s="46" t="s">
        <v>11</v>
      </c>
      <c r="H25" s="53">
        <f>NORMSDIST(F25-$H$20)-H24-H23-H22</f>
        <v>0.14508325290981083</v>
      </c>
      <c r="I25" s="32">
        <v>4</v>
      </c>
    </row>
    <row r="26" spans="2:9" ht="13.5" thickBot="1">
      <c r="B26" s="10"/>
      <c r="C26" s="11"/>
      <c r="E26" s="45"/>
      <c r="F26" s="54"/>
      <c r="G26" s="55" t="s">
        <v>12</v>
      </c>
      <c r="H26" s="56">
        <f>1-H25-H24-H23-H22</f>
        <v>0.022415846587686028</v>
      </c>
      <c r="I26" s="32">
        <v>5</v>
      </c>
    </row>
    <row r="27" spans="2:3" ht="12.75">
      <c r="B27" s="10" t="s">
        <v>16</v>
      </c>
      <c r="C27" s="28">
        <f>106-LEFT(Indata!D3,2)</f>
        <v>55</v>
      </c>
    </row>
    <row r="28" spans="2:8" ht="12.75">
      <c r="B28" s="10" t="s">
        <v>69</v>
      </c>
      <c r="C28" s="11">
        <f>IF($C$27&lt;=30,1,0)</f>
        <v>0</v>
      </c>
      <c r="H28" s="32">
        <f>MAX(H22:H26)</f>
        <v>0.6448337716290717</v>
      </c>
    </row>
    <row r="29" spans="2:3" ht="12.75">
      <c r="B29" s="10" t="s">
        <v>68</v>
      </c>
      <c r="C29" s="11">
        <f>IF($C$27&gt;30,IF($C$27&lt;50,1,0),0)</f>
        <v>0</v>
      </c>
    </row>
    <row r="30" spans="2:8" ht="12.75">
      <c r="B30" s="10"/>
      <c r="C30" s="11"/>
      <c r="E30" t="s">
        <v>21</v>
      </c>
      <c r="H30">
        <f>IF(Indata!G13="Ja",1,0)+IF(Indata!G14="Ja",1,0)+IF(Indata!G14="Ja",1,0)+Indata!G18+Indata!G20</f>
        <v>0</v>
      </c>
    </row>
    <row r="31" spans="2:3" ht="12.75">
      <c r="B31" s="10" t="s">
        <v>70</v>
      </c>
      <c r="C31" s="11">
        <f>IF(Indata!D17&lt;2003,0,1)</f>
        <v>0</v>
      </c>
    </row>
    <row r="32" spans="2:3" ht="13.5" thickBot="1">
      <c r="B32" s="15" t="s">
        <v>71</v>
      </c>
      <c r="C32" s="29">
        <f>IF(Indata!G33="Ja",1,0)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Handelsbanken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Bergström</dc:creator>
  <cp:keywords/>
  <dc:description/>
  <cp:lastModifiedBy>Torbjörn R</cp:lastModifiedBy>
  <dcterms:created xsi:type="dcterms:W3CDTF">2005-10-13T14:55:26Z</dcterms:created>
  <dcterms:modified xsi:type="dcterms:W3CDTF">2007-02-05T20:41:53Z</dcterms:modified>
  <cp:category/>
  <cp:version/>
  <cp:contentType/>
  <cp:contentStatus/>
</cp:coreProperties>
</file>